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nergan\Desktop\"/>
    </mc:Choice>
  </mc:AlternateContent>
  <bookViews>
    <workbookView xWindow="0" yWindow="270" windowWidth="14235" windowHeight="7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6" i="1" l="1"/>
  <c r="P6" i="1" s="1"/>
  <c r="O7" i="1"/>
  <c r="P7" i="1" s="1"/>
  <c r="O8" i="1"/>
  <c r="P8" i="1" s="1"/>
  <c r="O9" i="1"/>
  <c r="P9" i="1" s="1"/>
  <c r="O10" i="1"/>
  <c r="P10" i="1" s="1"/>
  <c r="O12" i="1"/>
  <c r="P12" i="1" s="1"/>
  <c r="O14" i="1"/>
  <c r="P14" i="1" s="1"/>
  <c r="O15" i="1"/>
  <c r="P15" i="1" s="1"/>
  <c r="O16" i="1"/>
  <c r="P16" i="1" s="1"/>
  <c r="O18" i="1"/>
  <c r="P18" i="1" s="1"/>
  <c r="O5" i="1"/>
  <c r="P5" i="1" s="1"/>
  <c r="N9" i="1" l="1"/>
  <c r="N16" i="1" l="1"/>
  <c r="N8" i="1" l="1"/>
  <c r="N6" i="1" l="1"/>
  <c r="N7" i="1"/>
  <c r="N10" i="1"/>
  <c r="M11" i="1"/>
  <c r="N12" i="1"/>
  <c r="M13" i="1"/>
  <c r="N15" i="1"/>
  <c r="N14" i="1"/>
  <c r="M17" i="1"/>
  <c r="N5" i="1"/>
  <c r="N18" i="1"/>
  <c r="N13" i="1" l="1"/>
  <c r="O13" i="1"/>
  <c r="P13" i="1" s="1"/>
  <c r="N17" i="1"/>
  <c r="O17" i="1"/>
  <c r="P17" i="1" s="1"/>
  <c r="N11" i="1"/>
  <c r="O11" i="1"/>
  <c r="P11" i="1" s="1"/>
  <c r="L13" i="1"/>
  <c r="L6" i="1"/>
  <c r="L5" i="1"/>
  <c r="L7" i="1"/>
  <c r="L10" i="1"/>
  <c r="L11" i="1"/>
  <c r="L12" i="1"/>
  <c r="L15" i="1"/>
  <c r="L17" i="1"/>
  <c r="L14" i="1"/>
  <c r="L18" i="1"/>
  <c r="J7" i="1" l="1"/>
  <c r="G5" i="1" l="1"/>
  <c r="G10" i="1"/>
  <c r="G11" i="1"/>
  <c r="H7" i="1"/>
  <c r="G12" i="1"/>
  <c r="G15" i="1"/>
  <c r="G17" i="1"/>
  <c r="G14" i="1"/>
  <c r="H9" i="1"/>
  <c r="G18" i="1"/>
  <c r="H14" i="1" l="1"/>
  <c r="J14" i="1"/>
  <c r="H12" i="1"/>
  <c r="J12" i="1"/>
  <c r="H18" i="1"/>
  <c r="J18" i="1"/>
  <c r="H17" i="1"/>
  <c r="J17" i="1"/>
  <c r="H11" i="1"/>
  <c r="J11" i="1"/>
  <c r="H15" i="1"/>
  <c r="J15" i="1"/>
  <c r="H10" i="1"/>
  <c r="J10" i="1"/>
  <c r="H5" i="1"/>
  <c r="J5" i="1"/>
  <c r="F18" i="1" l="1"/>
  <c r="F9" i="1"/>
  <c r="F14" i="1"/>
  <c r="F17" i="1"/>
  <c r="F15" i="1"/>
  <c r="F7" i="1"/>
  <c r="F11" i="1"/>
  <c r="F10" i="1"/>
  <c r="F5" i="1"/>
  <c r="AB20" i="1" l="1"/>
  <c r="AA20" i="1"/>
  <c r="AB23" i="1"/>
  <c r="AA15" i="1" l="1"/>
  <c r="AA10" i="1"/>
  <c r="AA7" i="1"/>
  <c r="AA18" i="1"/>
  <c r="AA9" i="1"/>
  <c r="AA5" i="1"/>
  <c r="AA11" i="1"/>
  <c r="AA17" i="1"/>
  <c r="AA22" i="1" l="1"/>
  <c r="AA24" i="1" s="1"/>
  <c r="AA25" i="1" s="1"/>
  <c r="AB22" i="1" l="1"/>
</calcChain>
</file>

<file path=xl/sharedStrings.xml><?xml version="1.0" encoding="utf-8"?>
<sst xmlns="http://schemas.openxmlformats.org/spreadsheetml/2006/main" count="166" uniqueCount="94">
  <si>
    <t>Name</t>
  </si>
  <si>
    <t>2011 Salary</t>
  </si>
  <si>
    <t>Talsma, Craig</t>
  </si>
  <si>
    <t>PSSWC</t>
  </si>
  <si>
    <t>REC</t>
  </si>
  <si>
    <t>ADMIN</t>
  </si>
  <si>
    <t>PARKS</t>
  </si>
  <si>
    <t>Cotshott, Lynne</t>
  </si>
  <si>
    <t>Manisco, Sandra</t>
  </si>
  <si>
    <t>C&amp;M</t>
  </si>
  <si>
    <t>ICE</t>
  </si>
  <si>
    <t>Jordan, Randy</t>
  </si>
  <si>
    <t>Falsetti, William</t>
  </si>
  <si>
    <t>Bechtold, Brian</t>
  </si>
  <si>
    <t>BPCC</t>
  </si>
  <si>
    <t>Tusa, Christine</t>
  </si>
  <si>
    <t>Kapusinski, Alisa</t>
  </si>
  <si>
    <t>PPO $</t>
  </si>
  <si>
    <t>HMO $</t>
  </si>
  <si>
    <t>Dental</t>
  </si>
  <si>
    <t>Vision</t>
  </si>
  <si>
    <t>EAP</t>
  </si>
  <si>
    <t>LIFE INS.</t>
  </si>
  <si>
    <t>Total $</t>
  </si>
  <si>
    <t>Family HMO</t>
  </si>
  <si>
    <t>HEPD</t>
  </si>
  <si>
    <t>No Medical</t>
  </si>
  <si>
    <t>Single HMO</t>
  </si>
  <si>
    <t>EE+Child HMO</t>
  </si>
  <si>
    <t>EE+Spouse HMO</t>
  </si>
  <si>
    <t>Medical</t>
  </si>
  <si>
    <t>Yes</t>
  </si>
  <si>
    <t>Annual</t>
  </si>
  <si>
    <t>Holidays</t>
  </si>
  <si>
    <t>Department</t>
  </si>
  <si>
    <t>Position</t>
  </si>
  <si>
    <t>Days</t>
  </si>
  <si>
    <t>Vacation</t>
  </si>
  <si>
    <t>Sick</t>
  </si>
  <si>
    <t>Personal</t>
  </si>
  <si>
    <t>Coverage</t>
  </si>
  <si>
    <t>Loans</t>
  </si>
  <si>
    <t>None</t>
  </si>
  <si>
    <t>Salary</t>
  </si>
  <si>
    <t>Executive Director</t>
  </si>
  <si>
    <t>Superintendent of Business</t>
  </si>
  <si>
    <t>Superintendent of Comm &amp; Marketing</t>
  </si>
  <si>
    <t>Superintendent of Recreation</t>
  </si>
  <si>
    <t>Asst. GM Ice Operations (TC)</t>
  </si>
  <si>
    <t xml:space="preserve"> </t>
  </si>
  <si>
    <t>(Pension)</t>
  </si>
  <si>
    <t>Contribution</t>
  </si>
  <si>
    <t>Employer IMRF</t>
  </si>
  <si>
    <t>Leninger, Eric</t>
  </si>
  <si>
    <t>Personal Vehicle</t>
  </si>
  <si>
    <t xml:space="preserve">Other </t>
  </si>
  <si>
    <t>Allowances?</t>
  </si>
  <si>
    <t>Eligible?</t>
  </si>
  <si>
    <t>Bonus</t>
  </si>
  <si>
    <t>Agudelo, John</t>
  </si>
  <si>
    <t>IT Manager</t>
  </si>
  <si>
    <t>Elected</t>
  </si>
  <si>
    <t>Single</t>
  </si>
  <si>
    <t>Employee + Spouse</t>
  </si>
  <si>
    <t>Employee + 1 Child</t>
  </si>
  <si>
    <t>Family</t>
  </si>
  <si>
    <t>BCBS HMO Illinois</t>
  </si>
  <si>
    <t>Superintendent of HR/Risk Management</t>
  </si>
  <si>
    <t>Hugen, Dustin</t>
  </si>
  <si>
    <t>Palmer, Colleen</t>
  </si>
  <si>
    <t>Hopkins, Nicole</t>
  </si>
  <si>
    <t>Dubicki, Stanley</t>
  </si>
  <si>
    <t>GM of ICE Operations (TC)</t>
  </si>
  <si>
    <t>Director of Parks, Planning &amp; Maintenance</t>
  </si>
  <si>
    <t>Supervisor of Parks, Construction &amp; Development</t>
  </si>
  <si>
    <t>Director of Recreation</t>
  </si>
  <si>
    <t>Amount</t>
  </si>
  <si>
    <t>GM of PSSWC</t>
  </si>
  <si>
    <t>Vehicle Allowance</t>
  </si>
  <si>
    <t>BCBS PPO - $500.00 Deductible</t>
  </si>
  <si>
    <t>2019 - Projected</t>
  </si>
  <si>
    <t>Salary - 3% incr</t>
  </si>
  <si>
    <t>Director of Facilities</t>
  </si>
  <si>
    <t>Director of Finance &amp; Admin</t>
  </si>
  <si>
    <t>$663.86 ($67.25)</t>
  </si>
  <si>
    <t>$1,256.39 ($139.25)</t>
  </si>
  <si>
    <t>$889.58 ($95.00)</t>
  </si>
  <si>
    <t>$1792.50($208.00)</t>
  </si>
  <si>
    <t>$41.19 ($5.25)</t>
  </si>
  <si>
    <t>$76.86 ($19.75)</t>
  </si>
  <si>
    <t>$72.06 ($14.50)</t>
  </si>
  <si>
    <t>$105.15 ($32.00)</t>
  </si>
  <si>
    <t>$982.40 ($141.00)</t>
  </si>
  <si>
    <t>All full-time employees have the option to participate in HEPD's group health insurance plan.  2019 monthly rates (and employees' per-paycheck contributions) are listed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</si>
</sst>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4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quotePrefix="1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44" fontId="6" fillId="0" borderId="0" xfId="1" applyFont="1" applyAlignment="1">
      <alignment horizontal="center"/>
    </xf>
    <xf numFmtId="44" fontId="7" fillId="0" borderId="0" xfId="1" applyFont="1" applyAlignment="1">
      <alignment horizontal="center"/>
    </xf>
    <xf numFmtId="44" fontId="8" fillId="0" borderId="0" xfId="1" applyFont="1" applyAlignment="1">
      <alignment horizontal="center"/>
    </xf>
    <xf numFmtId="0" fontId="7" fillId="0" borderId="0" xfId="0" applyFont="1"/>
    <xf numFmtId="0" fontId="0" fillId="0" borderId="1" xfId="0" applyBorder="1"/>
    <xf numFmtId="44" fontId="0" fillId="0" borderId="1" xfId="1" applyFont="1" applyBorder="1"/>
    <xf numFmtId="8" fontId="0" fillId="0" borderId="1" xfId="0" applyNumberFormat="1" applyBorder="1"/>
    <xf numFmtId="0" fontId="0" fillId="0" borderId="3" xfId="0" applyBorder="1"/>
    <xf numFmtId="44" fontId="0" fillId="0" borderId="3" xfId="1" applyFont="1" applyBorder="1"/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7" fillId="0" borderId="1" xfId="0" applyFont="1" applyBorder="1"/>
    <xf numFmtId="44" fontId="0" fillId="0" borderId="0" xfId="1" applyFont="1" applyBorder="1"/>
    <xf numFmtId="0" fontId="3" fillId="0" borderId="0" xfId="1" applyNumberFormat="1" applyFont="1" applyAlignment="1">
      <alignment horizontal="center"/>
    </xf>
    <xf numFmtId="44" fontId="3" fillId="0" borderId="2" xfId="1" applyFont="1" applyBorder="1" applyAlignment="1">
      <alignment horizontal="center"/>
    </xf>
    <xf numFmtId="8" fontId="0" fillId="0" borderId="3" xfId="1" applyNumberFormat="1" applyFont="1" applyBorder="1"/>
    <xf numFmtId="8" fontId="0" fillId="0" borderId="1" xfId="1" applyNumberFormat="1" applyFont="1" applyBorder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A38" sqref="A38"/>
    </sheetView>
  </sheetViews>
  <sheetFormatPr defaultRowHeight="15" x14ac:dyDescent="0.25"/>
  <cols>
    <col min="1" max="1" width="17.7109375" customWidth="1"/>
    <col min="2" max="2" width="43" customWidth="1"/>
    <col min="3" max="3" width="13.140625" hidden="1" customWidth="1"/>
    <col min="4" max="4" width="14" style="1" hidden="1" customWidth="1"/>
    <col min="5" max="5" width="14.42578125" style="1" hidden="1" customWidth="1"/>
    <col min="6" max="6" width="13.28515625" style="1" hidden="1" customWidth="1"/>
    <col min="7" max="7" width="13" style="1" customWidth="1"/>
    <col min="8" max="8" width="14.7109375" style="1" customWidth="1"/>
    <col min="9" max="9" width="12" style="1" customWidth="1"/>
    <col min="10" max="10" width="15.140625" style="1" customWidth="1"/>
    <col min="11" max="11" width="11.7109375" style="1" customWidth="1"/>
    <col min="12" max="12" width="15.85546875" style="1" customWidth="1"/>
    <col min="13" max="13" width="12.7109375" style="1" customWidth="1"/>
    <col min="14" max="16" width="15.85546875" style="1" customWidth="1"/>
    <col min="17" max="17" width="16.42578125" style="1" customWidth="1"/>
    <col min="18" max="18" width="13.28515625" style="1" customWidth="1"/>
    <col min="19" max="19" width="9.28515625" style="1" customWidth="1"/>
    <col min="20" max="20" width="16" style="1" customWidth="1"/>
    <col min="21" max="22" width="10.5703125" style="1" hidden="1" customWidth="1"/>
    <col min="23" max="23" width="0" style="1" hidden="1" customWidth="1"/>
    <col min="24" max="24" width="0" hidden="1" customWidth="1"/>
    <col min="25" max="26" width="0" style="1" hidden="1" customWidth="1"/>
    <col min="27" max="27" width="11.7109375" hidden="1" customWidth="1"/>
    <col min="28" max="28" width="1.140625" customWidth="1"/>
    <col min="29" max="29" width="8.42578125" customWidth="1"/>
    <col min="30" max="30" width="8" customWidth="1"/>
    <col min="31" max="31" width="8.28515625" customWidth="1"/>
    <col min="32" max="32" width="8.140625" customWidth="1"/>
  </cols>
  <sheetData>
    <row r="1" spans="1:33" x14ac:dyDescent="0.25">
      <c r="G1" s="18"/>
      <c r="H1" s="18">
        <v>2015</v>
      </c>
      <c r="I1" s="18"/>
      <c r="J1" s="18">
        <v>2016</v>
      </c>
      <c r="K1" s="18"/>
      <c r="L1" s="18">
        <v>2017</v>
      </c>
      <c r="M1" s="18"/>
      <c r="N1" s="18">
        <v>2018</v>
      </c>
      <c r="O1" s="18"/>
      <c r="P1" s="18">
        <v>2019</v>
      </c>
      <c r="S1" s="20"/>
    </row>
    <row r="2" spans="1:33" x14ac:dyDescent="0.25">
      <c r="B2" t="s">
        <v>49</v>
      </c>
      <c r="E2" s="19"/>
      <c r="F2" s="11"/>
      <c r="G2" s="19"/>
      <c r="H2" s="4" t="s">
        <v>52</v>
      </c>
      <c r="I2" s="4"/>
      <c r="J2" s="4" t="s">
        <v>52</v>
      </c>
      <c r="K2" s="4"/>
      <c r="L2" s="4" t="s">
        <v>52</v>
      </c>
      <c r="M2" s="4" t="s">
        <v>49</v>
      </c>
      <c r="N2" s="4" t="s">
        <v>52</v>
      </c>
      <c r="O2" s="4"/>
      <c r="P2" s="4" t="s">
        <v>52</v>
      </c>
      <c r="Q2" s="11"/>
      <c r="R2" s="4"/>
      <c r="S2" s="11"/>
      <c r="T2" s="11" t="s">
        <v>30</v>
      </c>
      <c r="U2" s="11"/>
      <c r="V2" s="11"/>
      <c r="W2" s="11"/>
      <c r="X2" s="10"/>
      <c r="Y2" s="11"/>
      <c r="Z2" s="11"/>
      <c r="AA2" s="10"/>
      <c r="AB2" s="10"/>
      <c r="AC2" s="10" t="s">
        <v>32</v>
      </c>
      <c r="AD2" s="10" t="s">
        <v>32</v>
      </c>
      <c r="AE2" s="10" t="s">
        <v>32</v>
      </c>
      <c r="AF2" s="10" t="s">
        <v>32</v>
      </c>
    </row>
    <row r="3" spans="1:33" ht="18" customHeight="1" x14ac:dyDescent="0.25">
      <c r="A3" s="13"/>
      <c r="B3" s="13"/>
      <c r="C3" s="13" t="s">
        <v>34</v>
      </c>
      <c r="D3" s="14" t="s">
        <v>1</v>
      </c>
      <c r="E3" s="18">
        <v>2014</v>
      </c>
      <c r="F3" s="18"/>
      <c r="G3" s="18">
        <v>2015</v>
      </c>
      <c r="H3" s="11" t="s">
        <v>50</v>
      </c>
      <c r="I3" s="36">
        <v>2016</v>
      </c>
      <c r="J3" s="11" t="s">
        <v>50</v>
      </c>
      <c r="K3" s="36">
        <v>2017</v>
      </c>
      <c r="L3" s="11" t="s">
        <v>50</v>
      </c>
      <c r="M3" s="36">
        <v>2018</v>
      </c>
      <c r="N3" s="11" t="s">
        <v>50</v>
      </c>
      <c r="O3" s="11" t="s">
        <v>80</v>
      </c>
      <c r="P3" s="11" t="s">
        <v>50</v>
      </c>
      <c r="Q3" s="11" t="s">
        <v>55</v>
      </c>
      <c r="R3" s="11"/>
      <c r="S3" s="20" t="s">
        <v>58</v>
      </c>
      <c r="T3" s="11" t="s">
        <v>40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  <c r="Z3" s="6" t="s">
        <v>22</v>
      </c>
      <c r="AA3" s="5" t="s">
        <v>23</v>
      </c>
      <c r="AC3" s="11" t="s">
        <v>37</v>
      </c>
      <c r="AD3" s="11" t="s">
        <v>38</v>
      </c>
      <c r="AE3" s="10" t="s">
        <v>39</v>
      </c>
      <c r="AF3" s="10" t="s">
        <v>33</v>
      </c>
    </row>
    <row r="4" spans="1:33" ht="17.25" x14ac:dyDescent="0.4">
      <c r="A4" s="13" t="s">
        <v>0</v>
      </c>
      <c r="B4" s="13" t="s">
        <v>35</v>
      </c>
      <c r="C4" s="13"/>
      <c r="D4" s="14"/>
      <c r="E4" s="12" t="s">
        <v>43</v>
      </c>
      <c r="F4" s="12"/>
      <c r="G4" s="12" t="s">
        <v>43</v>
      </c>
      <c r="H4" s="12" t="s">
        <v>51</v>
      </c>
      <c r="I4" s="12" t="s">
        <v>43</v>
      </c>
      <c r="J4" s="12" t="s">
        <v>51</v>
      </c>
      <c r="K4" s="12" t="s">
        <v>43</v>
      </c>
      <c r="L4" s="12" t="s">
        <v>51</v>
      </c>
      <c r="M4" s="12" t="s">
        <v>43</v>
      </c>
      <c r="N4" s="12" t="s">
        <v>51</v>
      </c>
      <c r="O4" s="12" t="s">
        <v>81</v>
      </c>
      <c r="P4" s="12" t="s">
        <v>51</v>
      </c>
      <c r="Q4" s="17" t="s">
        <v>56</v>
      </c>
      <c r="R4" s="17" t="s">
        <v>76</v>
      </c>
      <c r="S4" s="21" t="s">
        <v>57</v>
      </c>
      <c r="T4" s="12" t="s">
        <v>61</v>
      </c>
      <c r="U4" s="6"/>
      <c r="V4" s="6"/>
      <c r="W4" s="6"/>
      <c r="X4" s="6"/>
      <c r="Y4" s="6"/>
      <c r="Z4" s="6"/>
      <c r="AA4" s="5"/>
      <c r="AC4" s="12" t="s">
        <v>36</v>
      </c>
      <c r="AD4" s="12" t="s">
        <v>36</v>
      </c>
      <c r="AE4" s="12" t="s">
        <v>36</v>
      </c>
      <c r="AF4" s="12" t="s">
        <v>36</v>
      </c>
      <c r="AG4" s="12" t="s">
        <v>41</v>
      </c>
    </row>
    <row r="5" spans="1:33" x14ac:dyDescent="0.25">
      <c r="A5" s="2" t="s">
        <v>2</v>
      </c>
      <c r="B5" s="2" t="s">
        <v>44</v>
      </c>
      <c r="C5" s="16" t="s">
        <v>5</v>
      </c>
      <c r="D5" s="3">
        <v>113804.26</v>
      </c>
      <c r="E5" s="40">
        <v>128787.36</v>
      </c>
      <c r="F5" s="40" t="e">
        <f>+#REF!*1.03</f>
        <v>#REF!</v>
      </c>
      <c r="G5" s="40">
        <f>SUM(E5*1.02)</f>
        <v>131363.1072</v>
      </c>
      <c r="H5" s="40">
        <f t="shared" ref="H5:H17" si="0">SUM(G5*0.0939)</f>
        <v>12334.995766079999</v>
      </c>
      <c r="I5" s="40">
        <v>136618</v>
      </c>
      <c r="J5" s="40">
        <f t="shared" ref="J5:J17" si="1">SUM(I5*0.0928)</f>
        <v>12678.150399999999</v>
      </c>
      <c r="K5" s="40">
        <v>142082</v>
      </c>
      <c r="L5" s="40">
        <f t="shared" ref="L5:L17" si="2">SUM(K5*0.0807)</f>
        <v>11466.017399999999</v>
      </c>
      <c r="M5" s="40">
        <v>170000</v>
      </c>
      <c r="N5" s="40">
        <f t="shared" ref="N5:N17" si="3">SUM(M5*0.0698)</f>
        <v>11866</v>
      </c>
      <c r="O5" s="40">
        <f>SUM(M5*1.03)</f>
        <v>175100</v>
      </c>
      <c r="P5" s="40">
        <f>SUM(O5*0.051)</f>
        <v>8930.0999999999985</v>
      </c>
      <c r="Q5" s="3" t="s">
        <v>54</v>
      </c>
      <c r="R5" s="40">
        <v>3489.98</v>
      </c>
      <c r="S5" s="15" t="s">
        <v>31</v>
      </c>
      <c r="T5" s="1" t="s">
        <v>27</v>
      </c>
      <c r="V5" s="1">
        <v>472.19</v>
      </c>
      <c r="W5" s="1">
        <v>39.630000000000003</v>
      </c>
      <c r="X5" t="s">
        <v>25</v>
      </c>
      <c r="Y5" s="1">
        <v>2.8</v>
      </c>
      <c r="Z5" s="1">
        <v>18.8</v>
      </c>
      <c r="AA5" s="7">
        <f t="shared" ref="AA5" si="4">(V5+W5+Y5+Z5)</f>
        <v>533.41999999999996</v>
      </c>
      <c r="AB5" s="7">
        <v>50</v>
      </c>
      <c r="AC5" s="8">
        <v>29</v>
      </c>
      <c r="AD5" s="8">
        <v>10</v>
      </c>
      <c r="AE5" s="8">
        <v>3</v>
      </c>
      <c r="AF5" s="8">
        <v>11</v>
      </c>
      <c r="AG5" s="9" t="s">
        <v>42</v>
      </c>
    </row>
    <row r="6" spans="1:33" x14ac:dyDescent="0.25">
      <c r="A6" s="2" t="s">
        <v>68</v>
      </c>
      <c r="B6" s="2" t="s">
        <v>73</v>
      </c>
      <c r="C6" s="16"/>
      <c r="D6" s="3"/>
      <c r="E6" s="40"/>
      <c r="F6" s="40"/>
      <c r="G6" s="40"/>
      <c r="H6" s="40"/>
      <c r="I6" s="40"/>
      <c r="J6" s="40"/>
      <c r="K6" s="40">
        <v>106020</v>
      </c>
      <c r="L6" s="40">
        <f>SUM(K6*0.0807)</f>
        <v>8555.8139999999985</v>
      </c>
      <c r="M6" s="40">
        <v>116230</v>
      </c>
      <c r="N6" s="40">
        <f>SUM(M6*0.0698)</f>
        <v>8112.8540000000003</v>
      </c>
      <c r="O6" s="40">
        <f t="shared" ref="O6:O18" si="5">SUM(M6*1.03)</f>
        <v>119716.90000000001</v>
      </c>
      <c r="P6" s="40">
        <f t="shared" ref="P6:P18" si="6">SUM(O6*0.051)</f>
        <v>6105.5618999999997</v>
      </c>
      <c r="Q6" s="3" t="s">
        <v>54</v>
      </c>
      <c r="R6" s="40">
        <v>5590</v>
      </c>
      <c r="S6" s="15" t="s">
        <v>31</v>
      </c>
      <c r="T6" s="1" t="s">
        <v>24</v>
      </c>
      <c r="AA6" s="7"/>
      <c r="AB6" s="7"/>
      <c r="AC6" s="8">
        <v>15</v>
      </c>
      <c r="AD6" s="8">
        <v>10</v>
      </c>
      <c r="AE6" s="8">
        <v>3</v>
      </c>
      <c r="AF6" s="8">
        <v>11</v>
      </c>
      <c r="AG6" s="9" t="s">
        <v>42</v>
      </c>
    </row>
    <row r="7" spans="1:33" x14ac:dyDescent="0.25">
      <c r="A7" s="2" t="s">
        <v>13</v>
      </c>
      <c r="B7" s="2" t="s">
        <v>82</v>
      </c>
      <c r="C7" s="16" t="s">
        <v>14</v>
      </c>
      <c r="D7" s="3">
        <v>66950</v>
      </c>
      <c r="E7" s="40">
        <v>73584.58</v>
      </c>
      <c r="F7" s="40" t="e">
        <f>+#REF!*1.03</f>
        <v>#REF!</v>
      </c>
      <c r="G7" s="40">
        <v>89999.94</v>
      </c>
      <c r="H7" s="40">
        <f>SUM(G7*0.0939)</f>
        <v>8450.9943660000008</v>
      </c>
      <c r="I7" s="40">
        <v>91800</v>
      </c>
      <c r="J7" s="40">
        <f>SUM(I7*0.0928)</f>
        <v>8519.0399999999991</v>
      </c>
      <c r="K7" s="40">
        <v>95574</v>
      </c>
      <c r="L7" s="40">
        <f>SUM(K7*0.0807)</f>
        <v>7712.8217999999997</v>
      </c>
      <c r="M7" s="40">
        <v>115000</v>
      </c>
      <c r="N7" s="40">
        <f>SUM(M7*0.0698)</f>
        <v>8027</v>
      </c>
      <c r="O7" s="40">
        <f t="shared" si="5"/>
        <v>118450</v>
      </c>
      <c r="P7" s="40">
        <f t="shared" si="6"/>
        <v>6040.95</v>
      </c>
      <c r="Q7" s="3" t="s">
        <v>78</v>
      </c>
      <c r="R7" s="40">
        <v>3600</v>
      </c>
      <c r="S7" s="15" t="s">
        <v>31</v>
      </c>
      <c r="T7" s="1" t="s">
        <v>27</v>
      </c>
      <c r="V7" s="1">
        <v>472.19</v>
      </c>
      <c r="W7" s="1">
        <v>39.630000000000003</v>
      </c>
      <c r="X7" t="s">
        <v>25</v>
      </c>
      <c r="Y7" s="1">
        <v>2.8</v>
      </c>
      <c r="Z7" s="1">
        <v>13.07</v>
      </c>
      <c r="AA7" s="7">
        <f>(V7+W7+Y7+Z7)</f>
        <v>527.69000000000005</v>
      </c>
      <c r="AB7" s="7">
        <v>50</v>
      </c>
      <c r="AC7" s="8">
        <v>20</v>
      </c>
      <c r="AD7" s="8">
        <v>10</v>
      </c>
      <c r="AE7" s="8">
        <v>3</v>
      </c>
      <c r="AF7" s="8">
        <v>11</v>
      </c>
      <c r="AG7" s="9" t="s">
        <v>42</v>
      </c>
    </row>
    <row r="8" spans="1:33" x14ac:dyDescent="0.25">
      <c r="A8" s="2" t="s">
        <v>70</v>
      </c>
      <c r="B8" s="2" t="s">
        <v>83</v>
      </c>
      <c r="C8" s="16"/>
      <c r="D8" s="3"/>
      <c r="E8" s="40"/>
      <c r="F8" s="40"/>
      <c r="G8" s="40"/>
      <c r="H8" s="40"/>
      <c r="I8" s="40"/>
      <c r="J8" s="40"/>
      <c r="K8" s="40"/>
      <c r="L8" s="40"/>
      <c r="M8" s="40">
        <v>115000</v>
      </c>
      <c r="N8" s="40">
        <f t="shared" si="3"/>
        <v>8027</v>
      </c>
      <c r="O8" s="40">
        <f t="shared" si="5"/>
        <v>118450</v>
      </c>
      <c r="P8" s="40">
        <f t="shared" si="6"/>
        <v>6040.95</v>
      </c>
      <c r="Q8" s="3"/>
      <c r="R8" s="3" t="s">
        <v>49</v>
      </c>
      <c r="S8" s="15" t="s">
        <v>31</v>
      </c>
      <c r="T8" s="1" t="s">
        <v>27</v>
      </c>
      <c r="AA8" s="7"/>
      <c r="AC8" s="8">
        <v>15</v>
      </c>
      <c r="AD8" s="8">
        <v>10</v>
      </c>
      <c r="AE8" s="8">
        <v>3</v>
      </c>
      <c r="AF8" s="8">
        <v>11</v>
      </c>
      <c r="AG8" s="9" t="s">
        <v>42</v>
      </c>
    </row>
    <row r="9" spans="1:33" x14ac:dyDescent="0.25">
      <c r="A9" s="2" t="s">
        <v>16</v>
      </c>
      <c r="B9" s="2" t="s">
        <v>75</v>
      </c>
      <c r="C9" s="16" t="s">
        <v>4</v>
      </c>
      <c r="D9" s="3">
        <v>49143.1</v>
      </c>
      <c r="E9" s="3">
        <v>59999.89</v>
      </c>
      <c r="F9" s="3" t="e">
        <f>+#REF!*1.03</f>
        <v>#REF!</v>
      </c>
      <c r="G9" s="3">
        <v>63000</v>
      </c>
      <c r="H9" s="3">
        <f>SUM(G9*0.0939)</f>
        <v>5915.7</v>
      </c>
      <c r="I9" s="3"/>
      <c r="J9" s="3"/>
      <c r="K9" s="3"/>
      <c r="L9" s="3"/>
      <c r="M9" s="40">
        <v>110000</v>
      </c>
      <c r="N9" s="40">
        <f t="shared" si="3"/>
        <v>7678</v>
      </c>
      <c r="O9" s="40">
        <f t="shared" si="5"/>
        <v>113300</v>
      </c>
      <c r="P9" s="40">
        <f t="shared" si="6"/>
        <v>5778.2999999999993</v>
      </c>
      <c r="Q9" s="3" t="s">
        <v>78</v>
      </c>
      <c r="R9" s="40">
        <v>3600</v>
      </c>
      <c r="S9" s="15" t="s">
        <v>31</v>
      </c>
      <c r="T9" s="1" t="s">
        <v>26</v>
      </c>
      <c r="V9" s="1">
        <v>472.19</v>
      </c>
      <c r="W9" s="1">
        <v>39.630000000000003</v>
      </c>
      <c r="X9" t="s">
        <v>25</v>
      </c>
      <c r="Y9" s="1">
        <v>2.8</v>
      </c>
      <c r="Z9" s="1">
        <v>9.68</v>
      </c>
      <c r="AA9" s="7">
        <f>(V9+W9+Y9+Z9)</f>
        <v>524.29999999999995</v>
      </c>
      <c r="AB9" s="7">
        <v>50</v>
      </c>
      <c r="AC9" s="8">
        <v>20</v>
      </c>
      <c r="AD9" s="8">
        <v>10</v>
      </c>
      <c r="AE9" s="8">
        <v>2</v>
      </c>
      <c r="AF9" s="8">
        <v>11</v>
      </c>
      <c r="AG9" s="9" t="s">
        <v>42</v>
      </c>
    </row>
    <row r="10" spans="1:33" x14ac:dyDescent="0.25">
      <c r="A10" s="2" t="s">
        <v>7</v>
      </c>
      <c r="B10" s="2" t="s">
        <v>45</v>
      </c>
      <c r="C10" s="16" t="s">
        <v>5</v>
      </c>
      <c r="D10" s="3">
        <v>76501.039999999994</v>
      </c>
      <c r="E10" s="40">
        <v>83797.58</v>
      </c>
      <c r="F10" s="40" t="e">
        <f>+#REF!*1.03</f>
        <v>#REF!</v>
      </c>
      <c r="G10" s="40">
        <f>SUM(E10*1.02)</f>
        <v>85473.531600000002</v>
      </c>
      <c r="H10" s="40">
        <f t="shared" si="0"/>
        <v>8025.9646172399998</v>
      </c>
      <c r="I10" s="40">
        <v>88038</v>
      </c>
      <c r="J10" s="40">
        <f t="shared" si="1"/>
        <v>8169.9263999999994</v>
      </c>
      <c r="K10" s="40">
        <v>91119</v>
      </c>
      <c r="L10" s="40">
        <f t="shared" si="2"/>
        <v>7353.3032999999996</v>
      </c>
      <c r="M10" s="40">
        <v>94308.17</v>
      </c>
      <c r="N10" s="40">
        <f t="shared" si="3"/>
        <v>6582.710266</v>
      </c>
      <c r="O10" s="40">
        <f t="shared" si="5"/>
        <v>97137.415099999998</v>
      </c>
      <c r="P10" s="40">
        <f t="shared" si="6"/>
        <v>4954.0081700999999</v>
      </c>
      <c r="Q10" s="3"/>
      <c r="R10" s="3"/>
      <c r="S10" s="15" t="s">
        <v>31</v>
      </c>
      <c r="T10" s="1" t="s">
        <v>28</v>
      </c>
      <c r="U10" s="1">
        <v>1639.12</v>
      </c>
      <c r="W10" s="1">
        <v>102.38</v>
      </c>
      <c r="X10" t="s">
        <v>25</v>
      </c>
      <c r="Y10" s="1">
        <v>2.8</v>
      </c>
      <c r="Z10" s="1">
        <v>14.48</v>
      </c>
      <c r="AA10" s="7">
        <f>(U10+V10+W10+Y10+Z10)</f>
        <v>1758.78</v>
      </c>
      <c r="AB10" s="7">
        <v>290</v>
      </c>
      <c r="AC10" s="8">
        <v>25</v>
      </c>
      <c r="AD10" s="8">
        <v>10</v>
      </c>
      <c r="AE10" s="8">
        <v>3</v>
      </c>
      <c r="AF10" s="8">
        <v>11</v>
      </c>
      <c r="AG10" s="9" t="s">
        <v>42</v>
      </c>
    </row>
    <row r="11" spans="1:33" x14ac:dyDescent="0.25">
      <c r="A11" s="2" t="s">
        <v>8</v>
      </c>
      <c r="B11" s="2" t="s">
        <v>46</v>
      </c>
      <c r="C11" s="16" t="s">
        <v>9</v>
      </c>
      <c r="D11" s="3">
        <v>77000</v>
      </c>
      <c r="E11" s="40">
        <v>83322.929999999993</v>
      </c>
      <c r="F11" s="40" t="e">
        <f>+#REF!*1.03</f>
        <v>#REF!</v>
      </c>
      <c r="G11" s="40">
        <f>SUM(E11*1.02)</f>
        <v>84989.388599999991</v>
      </c>
      <c r="H11" s="40">
        <f t="shared" si="0"/>
        <v>7980.5035895399988</v>
      </c>
      <c r="I11" s="40">
        <v>86689</v>
      </c>
      <c r="J11" s="40">
        <f t="shared" si="1"/>
        <v>8044.7391999999991</v>
      </c>
      <c r="K11" s="40">
        <v>89289</v>
      </c>
      <c r="L11" s="40">
        <f t="shared" si="2"/>
        <v>7205.6222999999991</v>
      </c>
      <c r="M11" s="40">
        <f t="shared" ref="M11:M17" si="7">SUM(K11*1.03)</f>
        <v>91967.67</v>
      </c>
      <c r="N11" s="40">
        <f t="shared" si="3"/>
        <v>6419.3433660000001</v>
      </c>
      <c r="O11" s="40">
        <f t="shared" si="5"/>
        <v>94726.700100000002</v>
      </c>
      <c r="P11" s="40">
        <f t="shared" si="6"/>
        <v>4831.0617050999999</v>
      </c>
      <c r="Q11" s="3"/>
      <c r="R11" s="3"/>
      <c r="S11" s="15" t="s">
        <v>31</v>
      </c>
      <c r="T11" s="1" t="s">
        <v>28</v>
      </c>
      <c r="V11" s="1">
        <v>636.12</v>
      </c>
      <c r="W11" s="1">
        <v>69.92</v>
      </c>
      <c r="X11" t="s">
        <v>25</v>
      </c>
      <c r="Y11" s="1">
        <v>2.8</v>
      </c>
      <c r="Z11" s="1">
        <v>14.85</v>
      </c>
      <c r="AA11" s="7">
        <f>(V11+W11+Y11+Z11)</f>
        <v>723.68999999999994</v>
      </c>
      <c r="AB11" s="7">
        <v>80</v>
      </c>
      <c r="AC11" s="8">
        <v>20</v>
      </c>
      <c r="AD11" s="8">
        <v>10</v>
      </c>
      <c r="AE11" s="8">
        <v>3</v>
      </c>
      <c r="AF11" s="8">
        <v>11</v>
      </c>
      <c r="AG11" s="9" t="s">
        <v>42</v>
      </c>
    </row>
    <row r="12" spans="1:33" x14ac:dyDescent="0.25">
      <c r="A12" s="2" t="s">
        <v>59</v>
      </c>
      <c r="B12" s="2" t="s">
        <v>60</v>
      </c>
      <c r="C12" s="16"/>
      <c r="D12" s="3"/>
      <c r="E12" s="40">
        <v>75000</v>
      </c>
      <c r="F12" s="40"/>
      <c r="G12" s="40">
        <f>SUM(E12*1.02)</f>
        <v>76500</v>
      </c>
      <c r="H12" s="40">
        <f>SUM(G12*0.0939)</f>
        <v>7183.3499999999995</v>
      </c>
      <c r="I12" s="40">
        <v>80000</v>
      </c>
      <c r="J12" s="40">
        <f>SUM(I12*0.0928)</f>
        <v>7423.9999999999991</v>
      </c>
      <c r="K12" s="40">
        <v>82400</v>
      </c>
      <c r="L12" s="40">
        <f>SUM(K12*0.0807)</f>
        <v>6649.6799999999994</v>
      </c>
      <c r="M12" s="40">
        <v>84872</v>
      </c>
      <c r="N12" s="40">
        <f t="shared" si="3"/>
        <v>5924.0655999999999</v>
      </c>
      <c r="O12" s="40">
        <f t="shared" si="5"/>
        <v>87418.16</v>
      </c>
      <c r="P12" s="40">
        <f t="shared" si="6"/>
        <v>4458.3261599999996</v>
      </c>
      <c r="Q12" s="3"/>
      <c r="R12" s="3"/>
      <c r="S12" s="15" t="s">
        <v>31</v>
      </c>
      <c r="T12" s="1" t="s">
        <v>24</v>
      </c>
      <c r="AA12" s="7"/>
      <c r="AB12" s="7"/>
      <c r="AC12" s="8">
        <v>20</v>
      </c>
      <c r="AD12" s="8">
        <v>10</v>
      </c>
      <c r="AE12" s="8">
        <v>3</v>
      </c>
      <c r="AF12" s="8">
        <v>11</v>
      </c>
      <c r="AG12" s="9" t="s">
        <v>42</v>
      </c>
    </row>
    <row r="13" spans="1:33" x14ac:dyDescent="0.25">
      <c r="A13" s="2" t="s">
        <v>69</v>
      </c>
      <c r="B13" s="2" t="s">
        <v>47</v>
      </c>
      <c r="C13" s="16"/>
      <c r="D13" s="3"/>
      <c r="E13" s="40"/>
      <c r="F13" s="40"/>
      <c r="G13" s="40"/>
      <c r="H13" s="40"/>
      <c r="I13" s="40"/>
      <c r="J13" s="40"/>
      <c r="K13" s="40">
        <v>82000</v>
      </c>
      <c r="L13" s="40">
        <f t="shared" si="2"/>
        <v>6617.4</v>
      </c>
      <c r="M13" s="40">
        <f t="shared" si="7"/>
        <v>84460</v>
      </c>
      <c r="N13" s="40">
        <f t="shared" si="3"/>
        <v>5895.308</v>
      </c>
      <c r="O13" s="40">
        <f t="shared" si="5"/>
        <v>86993.8</v>
      </c>
      <c r="P13" s="40">
        <f t="shared" si="6"/>
        <v>4436.6837999999998</v>
      </c>
      <c r="Q13" s="3" t="s">
        <v>49</v>
      </c>
      <c r="R13" s="3"/>
      <c r="S13" s="15" t="s">
        <v>31</v>
      </c>
      <c r="T13" s="1" t="s">
        <v>24</v>
      </c>
      <c r="AA13" s="7"/>
      <c r="AB13" s="7"/>
      <c r="AC13" s="8">
        <v>15</v>
      </c>
      <c r="AD13" s="8">
        <v>10</v>
      </c>
      <c r="AE13" s="8">
        <v>3</v>
      </c>
      <c r="AF13" s="8">
        <v>11</v>
      </c>
      <c r="AG13" s="9" t="s">
        <v>42</v>
      </c>
    </row>
    <row r="14" spans="1:33" x14ac:dyDescent="0.25">
      <c r="A14" s="2" t="s">
        <v>53</v>
      </c>
      <c r="B14" s="2" t="s">
        <v>67</v>
      </c>
      <c r="C14" s="16"/>
      <c r="D14" s="3"/>
      <c r="E14" s="40">
        <v>63125.09</v>
      </c>
      <c r="F14" s="40" t="e">
        <f>+#REF!*1.03</f>
        <v>#REF!</v>
      </c>
      <c r="G14" s="40">
        <f>SUM(E14*1.02)</f>
        <v>64387.591799999995</v>
      </c>
      <c r="H14" s="40">
        <f>SUM(G14*0.0939)</f>
        <v>6045.9948700199993</v>
      </c>
      <c r="I14" s="40">
        <v>66963</v>
      </c>
      <c r="J14" s="40">
        <f>SUM(I14*0.0928)</f>
        <v>6214.1663999999992</v>
      </c>
      <c r="K14" s="40">
        <v>75000</v>
      </c>
      <c r="L14" s="40">
        <f>SUM(K14*0.0807)</f>
        <v>6052.5</v>
      </c>
      <c r="M14" s="40">
        <v>77625</v>
      </c>
      <c r="N14" s="40">
        <f>SUM(M14*0.0698)</f>
        <v>5418.2250000000004</v>
      </c>
      <c r="O14" s="40">
        <f t="shared" si="5"/>
        <v>79953.75</v>
      </c>
      <c r="P14" s="40">
        <f t="shared" si="6"/>
        <v>4077.6412499999997</v>
      </c>
      <c r="Q14" s="3"/>
      <c r="R14" s="3"/>
      <c r="S14" s="15" t="s">
        <v>31</v>
      </c>
      <c r="T14" s="1" t="s">
        <v>27</v>
      </c>
      <c r="AA14" s="7"/>
      <c r="AB14" s="7"/>
      <c r="AC14" s="8">
        <v>20</v>
      </c>
      <c r="AD14" s="8">
        <v>10</v>
      </c>
      <c r="AE14" s="8">
        <v>3</v>
      </c>
      <c r="AF14" s="8">
        <v>11</v>
      </c>
      <c r="AG14" s="9" t="s">
        <v>42</v>
      </c>
    </row>
    <row r="15" spans="1:33" x14ac:dyDescent="0.25">
      <c r="A15" s="2" t="s">
        <v>12</v>
      </c>
      <c r="B15" s="2" t="s">
        <v>74</v>
      </c>
      <c r="C15" s="16" t="s">
        <v>6</v>
      </c>
      <c r="D15" s="3">
        <v>60394.2</v>
      </c>
      <c r="E15" s="40">
        <v>65994.240000000005</v>
      </c>
      <c r="F15" s="40" t="e">
        <f>+#REF!*1.03</f>
        <v>#REF!</v>
      </c>
      <c r="G15" s="40">
        <f>SUM(E15*1.02)</f>
        <v>67314.124800000005</v>
      </c>
      <c r="H15" s="40">
        <f t="shared" si="0"/>
        <v>6320.7963187200003</v>
      </c>
      <c r="I15" s="40">
        <v>74328</v>
      </c>
      <c r="J15" s="40">
        <f t="shared" si="1"/>
        <v>6897.6383999999998</v>
      </c>
      <c r="K15" s="40">
        <v>76557</v>
      </c>
      <c r="L15" s="40">
        <f t="shared" si="2"/>
        <v>6178.1498999999994</v>
      </c>
      <c r="M15" s="40">
        <v>77322.570000000007</v>
      </c>
      <c r="N15" s="40">
        <f t="shared" si="3"/>
        <v>5397.1153860000004</v>
      </c>
      <c r="O15" s="40">
        <f t="shared" si="5"/>
        <v>79642.247100000008</v>
      </c>
      <c r="P15" s="40">
        <f t="shared" si="6"/>
        <v>4061.7546021000003</v>
      </c>
      <c r="Q15" s="3"/>
      <c r="R15" s="3"/>
      <c r="S15" s="15" t="s">
        <v>31</v>
      </c>
      <c r="T15" s="1" t="s">
        <v>29</v>
      </c>
      <c r="U15" s="1">
        <v>1639.12</v>
      </c>
      <c r="W15" s="1">
        <v>102.38</v>
      </c>
      <c r="X15" t="s">
        <v>25</v>
      </c>
      <c r="Y15" s="1">
        <v>2.8</v>
      </c>
      <c r="Z15" s="1">
        <v>11.75</v>
      </c>
      <c r="AA15" s="7">
        <f>(U15+V15+W15+Y15+Z15)</f>
        <v>1756.05</v>
      </c>
      <c r="AB15" s="7">
        <v>290</v>
      </c>
      <c r="AC15" s="8">
        <v>25</v>
      </c>
      <c r="AD15" s="8">
        <v>10</v>
      </c>
      <c r="AE15" s="8">
        <v>3</v>
      </c>
      <c r="AF15" s="8">
        <v>11</v>
      </c>
      <c r="AG15" s="9" t="s">
        <v>42</v>
      </c>
    </row>
    <row r="16" spans="1:33" x14ac:dyDescent="0.25">
      <c r="A16" s="2" t="s">
        <v>71</v>
      </c>
      <c r="B16" s="2" t="s">
        <v>72</v>
      </c>
      <c r="C16" s="16"/>
      <c r="D16" s="3"/>
      <c r="E16" s="40"/>
      <c r="F16" s="40"/>
      <c r="G16" s="40"/>
      <c r="H16" s="40"/>
      <c r="I16" s="40"/>
      <c r="J16" s="40"/>
      <c r="K16" s="40"/>
      <c r="L16" s="40"/>
      <c r="M16" s="40">
        <v>75000</v>
      </c>
      <c r="N16" s="40">
        <f t="shared" si="3"/>
        <v>5235</v>
      </c>
      <c r="O16" s="40">
        <f t="shared" si="5"/>
        <v>77250</v>
      </c>
      <c r="P16" s="40">
        <f t="shared" si="6"/>
        <v>3939.7499999999995</v>
      </c>
      <c r="Q16" s="3"/>
      <c r="R16" s="3"/>
      <c r="S16" s="15" t="s">
        <v>31</v>
      </c>
      <c r="T16" s="1" t="s">
        <v>28</v>
      </c>
      <c r="AA16" s="7"/>
      <c r="AB16" s="7"/>
      <c r="AC16" s="8">
        <v>15</v>
      </c>
      <c r="AD16" s="8">
        <v>10</v>
      </c>
      <c r="AE16" s="8">
        <v>3</v>
      </c>
      <c r="AF16" s="8">
        <v>11</v>
      </c>
      <c r="AG16" s="9" t="s">
        <v>42</v>
      </c>
    </row>
    <row r="17" spans="1:33" x14ac:dyDescent="0.25">
      <c r="A17" s="2" t="s">
        <v>11</v>
      </c>
      <c r="B17" s="2" t="s">
        <v>48</v>
      </c>
      <c r="C17" s="16" t="s">
        <v>10</v>
      </c>
      <c r="D17" s="3">
        <v>53301.46</v>
      </c>
      <c r="E17" s="40">
        <v>65952.850000000006</v>
      </c>
      <c r="F17" s="40" t="e">
        <f>+#REF!*1.03</f>
        <v>#REF!</v>
      </c>
      <c r="G17" s="40">
        <f>SUM(E17*1.02)</f>
        <v>67271.907000000007</v>
      </c>
      <c r="H17" s="40">
        <f t="shared" si="0"/>
        <v>6316.8320673000007</v>
      </c>
      <c r="I17" s="40">
        <v>69290</v>
      </c>
      <c r="J17" s="40">
        <f t="shared" si="1"/>
        <v>6430.1119999999992</v>
      </c>
      <c r="K17" s="40">
        <v>71368</v>
      </c>
      <c r="L17" s="40">
        <f t="shared" si="2"/>
        <v>5759.3975999999993</v>
      </c>
      <c r="M17" s="40">
        <f t="shared" si="7"/>
        <v>73509.040000000008</v>
      </c>
      <c r="N17" s="40">
        <f t="shared" si="3"/>
        <v>5130.9309920000005</v>
      </c>
      <c r="O17" s="40">
        <f t="shared" si="5"/>
        <v>75714.311200000011</v>
      </c>
      <c r="P17" s="40">
        <f t="shared" si="6"/>
        <v>3861.4298712000004</v>
      </c>
      <c r="Q17" s="3"/>
      <c r="R17" s="3"/>
      <c r="S17" s="15" t="s">
        <v>31</v>
      </c>
      <c r="T17" s="1" t="s">
        <v>24</v>
      </c>
      <c r="V17" s="1">
        <v>1386.08</v>
      </c>
      <c r="W17" s="1">
        <v>102.38</v>
      </c>
      <c r="X17" t="s">
        <v>25</v>
      </c>
      <c r="Y17" s="1">
        <v>2.8</v>
      </c>
      <c r="Z17" s="1">
        <v>10.43</v>
      </c>
      <c r="AA17" s="7">
        <f>(V17+W17+Y17+Z17)</f>
        <v>1501.69</v>
      </c>
      <c r="AB17" s="7">
        <v>165</v>
      </c>
      <c r="AC17" s="8">
        <v>20</v>
      </c>
      <c r="AD17" s="8">
        <v>10</v>
      </c>
      <c r="AE17" s="8">
        <v>3</v>
      </c>
      <c r="AF17" s="8">
        <v>11</v>
      </c>
      <c r="AG17" s="9" t="s">
        <v>42</v>
      </c>
    </row>
    <row r="18" spans="1:33" x14ac:dyDescent="0.25">
      <c r="A18" s="2" t="s">
        <v>15</v>
      </c>
      <c r="B18" s="2" t="s">
        <v>77</v>
      </c>
      <c r="C18" s="16" t="s">
        <v>3</v>
      </c>
      <c r="D18" s="3">
        <v>42875.63</v>
      </c>
      <c r="E18" s="40">
        <v>46851.17</v>
      </c>
      <c r="F18" s="40" t="e">
        <f>+#REF!*1.03</f>
        <v>#REF!</v>
      </c>
      <c r="G18" s="40">
        <f>SUM(E18*1.02)</f>
        <v>47788.193399999996</v>
      </c>
      <c r="H18" s="40">
        <f>SUM(G18*0.0939)</f>
        <v>4487.3113602599997</v>
      </c>
      <c r="I18" s="40">
        <v>50164</v>
      </c>
      <c r="J18" s="40">
        <f>SUM(I18*0.0928)</f>
        <v>4655.2191999999995</v>
      </c>
      <c r="K18" s="40">
        <v>51668</v>
      </c>
      <c r="L18" s="40">
        <f>SUM(K18*0.0807)</f>
        <v>4169.6075999999994</v>
      </c>
      <c r="M18" s="40">
        <v>70000</v>
      </c>
      <c r="N18" s="40">
        <f>SUM(M18*0.0698)</f>
        <v>4886</v>
      </c>
      <c r="O18" s="40">
        <f t="shared" si="5"/>
        <v>72100</v>
      </c>
      <c r="P18" s="40">
        <f t="shared" si="6"/>
        <v>3677.1</v>
      </c>
      <c r="Q18" s="3"/>
      <c r="R18" s="3"/>
      <c r="S18" s="15" t="s">
        <v>31</v>
      </c>
      <c r="T18" s="1" t="s">
        <v>26</v>
      </c>
      <c r="Y18" s="1">
        <v>2.8</v>
      </c>
      <c r="Z18" s="1">
        <v>8.3699999999999992</v>
      </c>
      <c r="AA18" s="7">
        <f>(V18+W18+Y18+Z18)</f>
        <v>11.169999999999998</v>
      </c>
      <c r="AC18" s="8">
        <v>20</v>
      </c>
      <c r="AD18" s="8">
        <v>10</v>
      </c>
      <c r="AE18" s="8">
        <v>3</v>
      </c>
      <c r="AF18" s="8">
        <v>11</v>
      </c>
      <c r="AG18" s="9" t="s">
        <v>42</v>
      </c>
    </row>
    <row r="19" spans="1:33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5"/>
      <c r="AA19" s="7"/>
      <c r="AB19" s="7"/>
      <c r="AC19" s="8"/>
      <c r="AD19" s="8"/>
      <c r="AE19" s="8"/>
      <c r="AF19" s="8"/>
      <c r="AG19" s="9"/>
    </row>
    <row r="20" spans="1:33" x14ac:dyDescent="0.25">
      <c r="A20" s="22" t="s">
        <v>93</v>
      </c>
      <c r="B20" s="2"/>
      <c r="AA20">
        <f>525*4</f>
        <v>2100</v>
      </c>
      <c r="AB20" s="7">
        <f>50*4</f>
        <v>200</v>
      </c>
    </row>
    <row r="21" spans="1:33" ht="15.75" thickBot="1" x14ac:dyDescent="0.3"/>
    <row r="22" spans="1:33" ht="15.75" thickBot="1" x14ac:dyDescent="0.3">
      <c r="A22" s="28" t="s">
        <v>66</v>
      </c>
      <c r="B22" s="31" t="s">
        <v>30</v>
      </c>
      <c r="C22" s="29"/>
      <c r="D22" s="30"/>
      <c r="E22" s="37" t="s">
        <v>19</v>
      </c>
      <c r="F22" s="30"/>
      <c r="AA22" s="7">
        <f>SUM(AA5:AA20)</f>
        <v>9436.7900000000009</v>
      </c>
      <c r="AB22" s="7">
        <f ca="1">SUM(AB5:AB22)</f>
        <v>0</v>
      </c>
    </row>
    <row r="23" spans="1:33" x14ac:dyDescent="0.25">
      <c r="A23" s="26" t="s">
        <v>62</v>
      </c>
      <c r="B23" s="26" t="s">
        <v>84</v>
      </c>
      <c r="C23" s="26"/>
      <c r="D23" s="27"/>
      <c r="E23" s="38" t="s">
        <v>88</v>
      </c>
      <c r="F23" s="27"/>
      <c r="AB23">
        <f>5140*26/12</f>
        <v>11136.666666666666</v>
      </c>
    </row>
    <row r="24" spans="1:33" x14ac:dyDescent="0.25">
      <c r="A24" s="23" t="s">
        <v>63</v>
      </c>
      <c r="B24" s="23" t="s">
        <v>85</v>
      </c>
      <c r="C24" s="23"/>
      <c r="D24" s="24"/>
      <c r="E24" s="39" t="s">
        <v>89</v>
      </c>
      <c r="F24" s="24"/>
      <c r="AA24" s="7">
        <f>+AA22-AB23</f>
        <v>-1699.8766666666652</v>
      </c>
    </row>
    <row r="25" spans="1:33" x14ac:dyDescent="0.25">
      <c r="A25" s="23" t="s">
        <v>64</v>
      </c>
      <c r="B25" s="23" t="s">
        <v>86</v>
      </c>
      <c r="C25" s="23"/>
      <c r="D25" s="24"/>
      <c r="E25" s="39" t="s">
        <v>90</v>
      </c>
      <c r="F25" s="24"/>
      <c r="AA25">
        <f>+AA24*12</f>
        <v>-20398.519999999982</v>
      </c>
    </row>
    <row r="26" spans="1:33" x14ac:dyDescent="0.25">
      <c r="A26" s="23" t="s">
        <v>65</v>
      </c>
      <c r="B26" s="25" t="s">
        <v>87</v>
      </c>
      <c r="C26" s="23"/>
      <c r="D26" s="24"/>
      <c r="E26" s="39" t="s">
        <v>91</v>
      </c>
      <c r="F26" s="24"/>
    </row>
    <row r="27" spans="1:33" x14ac:dyDescent="0.25">
      <c r="A27" s="34" t="s">
        <v>79</v>
      </c>
      <c r="B27" s="23"/>
      <c r="C27" s="23"/>
      <c r="D27" s="24"/>
      <c r="E27" s="24"/>
      <c r="F27" s="24"/>
    </row>
    <row r="28" spans="1:33" x14ac:dyDescent="0.25">
      <c r="A28" s="23" t="s">
        <v>62</v>
      </c>
      <c r="B28" s="25" t="s">
        <v>92</v>
      </c>
      <c r="C28" s="23"/>
      <c r="D28" s="24"/>
      <c r="E28" s="24"/>
      <c r="F28" s="24"/>
    </row>
    <row r="29" spans="1:33" x14ac:dyDescent="0.25">
      <c r="A29" s="32"/>
      <c r="B29" s="33"/>
      <c r="C29" s="33"/>
      <c r="D29" s="35"/>
    </row>
    <row r="30" spans="1:33" x14ac:dyDescent="0.25">
      <c r="A30" s="32"/>
      <c r="B30" s="33"/>
      <c r="C30" s="33"/>
      <c r="D30" s="35"/>
    </row>
    <row r="31" spans="1:33" x14ac:dyDescent="0.25">
      <c r="A31" s="32"/>
      <c r="B31" s="33"/>
      <c r="C31" s="33"/>
      <c r="D31" s="35"/>
    </row>
    <row r="32" spans="1:33" x14ac:dyDescent="0.25">
      <c r="A32" s="33"/>
      <c r="B32" s="33"/>
      <c r="C32" s="33"/>
      <c r="D32" s="35"/>
    </row>
    <row r="33" spans="1:4" x14ac:dyDescent="0.25">
      <c r="A33" s="33"/>
      <c r="B33" s="33"/>
      <c r="C33" s="33"/>
      <c r="D33" s="35"/>
    </row>
    <row r="34" spans="1:4" x14ac:dyDescent="0.25">
      <c r="A34" s="33"/>
      <c r="B34" s="33"/>
      <c r="C34" s="33"/>
      <c r="D34" s="35"/>
    </row>
  </sheetData>
  <sortState ref="A4:AF75">
    <sortCondition descending="1" ref="E4:E75"/>
  </sortState>
  <pageMargins left="0.7" right="0.7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Brett Lonergan</cp:lastModifiedBy>
  <cp:lastPrinted>2013-11-15T15:42:51Z</cp:lastPrinted>
  <dcterms:created xsi:type="dcterms:W3CDTF">2012-02-08T17:00:20Z</dcterms:created>
  <dcterms:modified xsi:type="dcterms:W3CDTF">2018-11-07T14:18:24Z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